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41" yWindow="65401" windowWidth="892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<sst xmlns="http://schemas.openxmlformats.org/spreadsheetml/2006/main" count="70" uniqueCount="31">
  <si>
    <t>Wff?</t>
  </si>
  <si>
    <t>Benefit?</t>
  </si>
  <si>
    <t>Super?</t>
  </si>
  <si>
    <t>Kiwisaver?</t>
  </si>
  <si>
    <t>Your Income</t>
  </si>
  <si>
    <t>Partners' Income</t>
  </si>
  <si>
    <t>morethan 24000</t>
  </si>
  <si>
    <t>lessthan50000</t>
  </si>
  <si>
    <t>in ie range</t>
  </si>
  <si>
    <t>between 44-50</t>
  </si>
  <si>
    <t>between 24-44</t>
  </si>
  <si>
    <t>ie paid</t>
  </si>
  <si>
    <t>Kiwisaver loss</t>
  </si>
  <si>
    <t>Difference</t>
  </si>
  <si>
    <t>You</t>
  </si>
  <si>
    <t>Your Family</t>
  </si>
  <si>
    <t xml:space="preserve">You </t>
  </si>
  <si>
    <t>With a Labour-led government</t>
  </si>
  <si>
    <t>With National</t>
  </si>
  <si>
    <t>Partner</t>
  </si>
  <si>
    <t>IE Payment</t>
  </si>
  <si>
    <t>lessthan48000</t>
  </si>
  <si>
    <t>you</t>
  </si>
  <si>
    <t>partner</t>
  </si>
  <si>
    <t>Pre</t>
  </si>
  <si>
    <t>Lab</t>
  </si>
  <si>
    <t>Nat</t>
  </si>
  <si>
    <t xml:space="preserve">By 2011, your family would be </t>
  </si>
  <si>
    <r>
      <t>per week better/</t>
    </r>
    <r>
      <rPr>
        <b/>
        <sz val="18"/>
        <color indexed="10"/>
        <rFont val="Calibri"/>
        <family val="2"/>
      </rPr>
      <t>worse</t>
    </r>
    <r>
      <rPr>
        <b/>
        <sz val="18"/>
        <color indexed="8"/>
        <rFont val="Calibri"/>
        <family val="2"/>
      </rPr>
      <t xml:space="preserve"> off with a Labour-led Government</t>
    </r>
  </si>
  <si>
    <t>Enter your income and your partner's income, then tick the boxes that apply</t>
  </si>
  <si>
    <t>If the figure in the box is red, you would get a bigger tax cut from National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</si>
</sst>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;[Red]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sz val="18"/>
      <color theme="1"/>
      <name val="Calibri"/>
      <family val="2"/>
    </font>
    <font>
      <b/>
      <sz val="18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164" fontId="40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44" fontId="41" fillId="0" borderId="0" xfId="44" applyFont="1" applyAlignment="1">
      <alignment horizontal="left"/>
    </xf>
    <xf numFmtId="44" fontId="41" fillId="0" borderId="0" xfId="44" applyFont="1" applyAlignment="1">
      <alignment/>
    </xf>
    <xf numFmtId="44" fontId="39" fillId="0" borderId="0" xfId="44" applyFont="1" applyAlignment="1">
      <alignment/>
    </xf>
    <xf numFmtId="42" fontId="41" fillId="0" borderId="0" xfId="44" applyNumberFormat="1" applyFont="1" applyAlignment="1">
      <alignment horizontal="left"/>
    </xf>
    <xf numFmtId="0" fontId="23" fillId="0" borderId="0" xfId="0" applyFont="1" applyAlignment="1">
      <alignment/>
    </xf>
    <xf numFmtId="0" fontId="42" fillId="0" borderId="0" xfId="0" applyFont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2"/>
  <sheetViews>
    <sheetView tabSelected="1" zoomScale="70" zoomScaleNormal="70" zoomScalePageLayoutView="0" workbookViewId="0" topLeftCell="A1">
      <selection activeCell="C24" sqref="C24"/>
    </sheetView>
  </sheetViews>
  <sheetFormatPr defaultColWidth="9.140625" defaultRowHeight="15"/>
  <cols>
    <col min="2" max="2" width="28.421875" style="0" customWidth="1"/>
    <col min="3" max="3" width="19.00390625" style="0" customWidth="1"/>
    <col min="4" max="4" width="28.140625" style="0" customWidth="1"/>
    <col min="5" max="5" width="18.421875" style="0" customWidth="1"/>
    <col min="6" max="10" width="18.8515625" style="0" customWidth="1"/>
  </cols>
  <sheetData>
    <row r="1" ht="15">
      <c r="N1" t="s">
        <v>12</v>
      </c>
    </row>
    <row r="3" spans="2:10" ht="23.25">
      <c r="B3" s="5" t="s">
        <v>29</v>
      </c>
      <c r="C3" s="5"/>
      <c r="D3" s="5"/>
      <c r="E3" s="5"/>
      <c r="F3" s="5"/>
      <c r="G3" s="5"/>
      <c r="H3" s="5"/>
      <c r="I3" s="5"/>
      <c r="J3" s="5"/>
    </row>
    <row r="4" spans="2:17" ht="23.25">
      <c r="B4" s="5"/>
      <c r="C4" s="5"/>
      <c r="D4" s="5"/>
      <c r="E4" s="5"/>
      <c r="F4" s="5"/>
      <c r="G4" s="5" t="s">
        <v>17</v>
      </c>
      <c r="H4" s="5"/>
      <c r="I4" s="5"/>
      <c r="J4" s="5"/>
      <c r="Q4" t="s">
        <v>13</v>
      </c>
    </row>
    <row r="5" spans="2:10" ht="23.25">
      <c r="B5" s="5"/>
      <c r="C5" s="5"/>
      <c r="D5" s="5"/>
      <c r="E5" s="5"/>
      <c r="F5" s="5"/>
      <c r="G5" s="5">
        <v>2008</v>
      </c>
      <c r="H5" s="5">
        <v>2009</v>
      </c>
      <c r="I5" s="5">
        <v>2010</v>
      </c>
      <c r="J5" s="5">
        <v>2011</v>
      </c>
    </row>
    <row r="6" spans="2:10" ht="19.5" customHeight="1">
      <c r="B6" s="5" t="s">
        <v>4</v>
      </c>
      <c r="C6" s="9">
        <v>0</v>
      </c>
      <c r="D6" s="6"/>
      <c r="E6" s="5"/>
      <c r="F6" s="5" t="s">
        <v>14</v>
      </c>
      <c r="G6" s="7">
        <f>(D82-D94)</f>
        <v>0</v>
      </c>
      <c r="H6" s="7">
        <f>(D82-D105)</f>
        <v>0</v>
      </c>
      <c r="I6" s="7">
        <f>(D82-D116)</f>
        <v>0</v>
      </c>
      <c r="J6" s="7">
        <f>(D82-D127)</f>
        <v>0</v>
      </c>
    </row>
    <row r="7" spans="2:10" ht="19.5" customHeight="1">
      <c r="B7" s="5"/>
      <c r="C7" s="5"/>
      <c r="D7" s="5"/>
      <c r="E7" s="5"/>
      <c r="F7" s="5" t="s">
        <v>15</v>
      </c>
      <c r="G7" s="7">
        <f>(D87-D99)+G6</f>
        <v>0</v>
      </c>
      <c r="H7" s="7">
        <f>(D87-D110)+H6</f>
        <v>0</v>
      </c>
      <c r="I7" s="7">
        <f>(D87-D121)+I6</f>
        <v>0</v>
      </c>
      <c r="J7" s="7">
        <f>(D87-D132)+J6</f>
        <v>0</v>
      </c>
    </row>
    <row r="8" spans="2:10" ht="19.5" customHeight="1">
      <c r="B8" s="5" t="s">
        <v>0</v>
      </c>
      <c r="C8" s="5"/>
      <c r="D8" s="5"/>
      <c r="E8" s="5"/>
      <c r="F8" s="5"/>
      <c r="G8" s="5"/>
      <c r="H8" s="5"/>
      <c r="I8" s="5"/>
      <c r="J8" s="5"/>
    </row>
    <row r="9" spans="2:10" ht="19.5" customHeight="1">
      <c r="B9" s="5" t="s">
        <v>1</v>
      </c>
      <c r="C9" s="5"/>
      <c r="D9" s="5"/>
      <c r="E9" s="5"/>
      <c r="F9" s="5"/>
      <c r="G9" s="5"/>
      <c r="H9" s="5"/>
      <c r="I9" s="5"/>
      <c r="J9" s="5"/>
    </row>
    <row r="10" spans="2:10" ht="19.5" customHeight="1">
      <c r="B10" s="5" t="s">
        <v>2</v>
      </c>
      <c r="C10" s="5"/>
      <c r="D10" s="5"/>
      <c r="E10" s="5"/>
      <c r="F10" s="5"/>
      <c r="G10" s="5" t="s">
        <v>18</v>
      </c>
      <c r="H10" s="5"/>
      <c r="I10" s="5"/>
      <c r="J10" s="5"/>
    </row>
    <row r="11" spans="2:10" ht="19.5" customHeight="1">
      <c r="B11" s="5" t="s">
        <v>3</v>
      </c>
      <c r="C11" s="5"/>
      <c r="D11" s="5"/>
      <c r="E11" s="5"/>
      <c r="F11" s="5"/>
      <c r="G11" s="5">
        <v>2008</v>
      </c>
      <c r="H11" s="5">
        <v>2009</v>
      </c>
      <c r="I11" s="5">
        <v>2010</v>
      </c>
      <c r="J11" s="5">
        <v>2011</v>
      </c>
    </row>
    <row r="12" spans="2:10" ht="19.5" customHeight="1">
      <c r="B12" s="5"/>
      <c r="C12" s="5"/>
      <c r="D12" s="5"/>
      <c r="E12" s="5"/>
      <c r="F12" s="5" t="s">
        <v>16</v>
      </c>
      <c r="G12" s="7">
        <f>SUM((H76-H88))</f>
        <v>0</v>
      </c>
      <c r="H12" s="7">
        <f>SUM((H76-H99)+-T118+L121)</f>
        <v>0</v>
      </c>
      <c r="I12" s="7">
        <f>SUM((H76-H110)+-T118+L132)</f>
        <v>0</v>
      </c>
      <c r="J12" s="7">
        <f>SUM((H76-H121)+-T118+L132)</f>
        <v>0</v>
      </c>
    </row>
    <row r="13" spans="2:10" ht="19.5" customHeight="1">
      <c r="B13" s="5" t="s">
        <v>5</v>
      </c>
      <c r="C13" s="9">
        <v>0</v>
      </c>
      <c r="D13" s="5"/>
      <c r="E13" s="5"/>
      <c r="F13" s="5" t="s">
        <v>15</v>
      </c>
      <c r="G13" s="7">
        <f>SUM((H81-H93)+G12)</f>
        <v>0</v>
      </c>
      <c r="H13" s="7">
        <f>H76+H81+-H99-H104+L121+P121-T118-T126</f>
        <v>0</v>
      </c>
      <c r="I13" s="7">
        <f>H76+H81+-H115-H110+P132+L132-T118-T126</f>
        <v>0</v>
      </c>
      <c r="J13" s="7">
        <f>H76+H81-H121-H126+L132+P132-T126-T118</f>
        <v>0</v>
      </c>
    </row>
    <row r="14" spans="2:10" ht="19.5" customHeight="1">
      <c r="B14" s="5"/>
      <c r="C14" s="5"/>
      <c r="D14" s="6"/>
      <c r="E14" s="5"/>
      <c r="F14" s="5"/>
      <c r="G14" s="5"/>
      <c r="H14" s="5"/>
      <c r="I14" s="5"/>
      <c r="J14" s="5"/>
    </row>
    <row r="15" spans="2:10" ht="19.5" customHeight="1">
      <c r="B15" s="5" t="s">
        <v>0</v>
      </c>
      <c r="C15" s="5"/>
      <c r="D15" s="5"/>
      <c r="E15" s="5"/>
      <c r="F15" s="5"/>
      <c r="G15" s="5" t="s">
        <v>13</v>
      </c>
      <c r="H15" s="5"/>
      <c r="I15" s="5"/>
      <c r="J15" s="5"/>
    </row>
    <row r="16" spans="2:10" ht="19.5" customHeight="1">
      <c r="B16" s="5" t="s">
        <v>1</v>
      </c>
      <c r="C16" s="5"/>
      <c r="D16" s="5"/>
      <c r="E16" s="5"/>
      <c r="F16" s="5"/>
      <c r="G16" s="5">
        <v>2008</v>
      </c>
      <c r="H16" s="5">
        <v>2009</v>
      </c>
      <c r="I16" s="5">
        <v>2010</v>
      </c>
      <c r="J16" s="5">
        <v>2011</v>
      </c>
    </row>
    <row r="17" spans="2:10" ht="19.5" customHeight="1">
      <c r="B17" s="5" t="s">
        <v>2</v>
      </c>
      <c r="C17" s="5"/>
      <c r="D17" s="5"/>
      <c r="E17" s="5"/>
      <c r="F17" s="5" t="s">
        <v>14</v>
      </c>
      <c r="G17" s="7">
        <f aca="true" t="shared" si="0" ref="G17:J18">G6-G12</f>
        <v>0</v>
      </c>
      <c r="H17" s="7">
        <f t="shared" si="0"/>
        <v>0</v>
      </c>
      <c r="I17" s="7">
        <f t="shared" si="0"/>
        <v>0</v>
      </c>
      <c r="J17" s="7">
        <f t="shared" si="0"/>
        <v>0</v>
      </c>
    </row>
    <row r="18" spans="2:10" ht="19.5" customHeight="1">
      <c r="B18" s="5" t="s">
        <v>3</v>
      </c>
      <c r="C18" s="5"/>
      <c r="D18" s="5"/>
      <c r="E18" s="5"/>
      <c r="F18" s="3" t="s">
        <v>15</v>
      </c>
      <c r="G18" s="8">
        <f t="shared" si="0"/>
        <v>0</v>
      </c>
      <c r="H18" s="8">
        <f t="shared" si="0"/>
        <v>0</v>
      </c>
      <c r="I18" s="8">
        <f t="shared" si="0"/>
        <v>0</v>
      </c>
      <c r="J18" s="8">
        <f t="shared" si="0"/>
        <v>0</v>
      </c>
    </row>
    <row r="19" spans="7:10" ht="19.5" customHeight="1">
      <c r="G19" s="1"/>
      <c r="H19" s="1"/>
      <c r="I19" s="1"/>
      <c r="J19" s="1"/>
    </row>
    <row r="20" ht="19.5" customHeight="1" thickBot="1"/>
    <row r="21" spans="2:5" ht="27" thickBot="1">
      <c r="B21" s="3" t="s">
        <v>27</v>
      </c>
      <c r="C21" s="3"/>
      <c r="D21" s="4">
        <f>J18</f>
        <v>0</v>
      </c>
      <c r="E21" s="3" t="s">
        <v>28</v>
      </c>
    </row>
    <row r="22" spans="5:12" ht="23.25">
      <c r="E22" s="3" t="s">
        <v>30</v>
      </c>
      <c r="K22" s="2"/>
      <c r="L22" s="2"/>
    </row>
    <row r="23" spans="5:12" s="10" customFormat="1" ht="23.25">
      <c r="E23" s="11"/>
      <c r="K23" s="12"/>
      <c r="L23" s="12"/>
    </row>
    <row r="24" spans="5:12" s="10" customFormat="1" ht="23.25">
      <c r="E24" s="11"/>
      <c r="K24" s="12"/>
      <c r="L24" s="12"/>
    </row>
    <row r="25" spans="5:12" s="10" customFormat="1" ht="23.25">
      <c r="E25" s="11"/>
      <c r="K25" s="12"/>
      <c r="L25" s="12"/>
    </row>
    <row r="26" spans="5:12" s="10" customFormat="1" ht="23.25">
      <c r="E26" s="11"/>
      <c r="K26" s="12"/>
      <c r="L26" s="12"/>
    </row>
    <row r="27" spans="5:12" s="10" customFormat="1" ht="23.25">
      <c r="E27" s="11"/>
      <c r="K27" s="12"/>
      <c r="L27" s="12"/>
    </row>
    <row r="28" spans="5:12" s="10" customFormat="1" ht="23.25">
      <c r="E28" s="11"/>
      <c r="K28" s="12"/>
      <c r="L28" s="12"/>
    </row>
    <row r="29" spans="5:12" s="10" customFormat="1" ht="23.25">
      <c r="E29" s="11"/>
      <c r="K29" s="12"/>
      <c r="L29" s="12"/>
    </row>
    <row r="30" spans="5:12" s="10" customFormat="1" ht="23.25">
      <c r="E30" s="11"/>
      <c r="K30" s="12"/>
      <c r="L30" s="12"/>
    </row>
    <row r="31" spans="5:12" s="10" customFormat="1" ht="23.25">
      <c r="E31" s="11"/>
      <c r="K31" s="12"/>
      <c r="L31" s="12"/>
    </row>
    <row r="32" spans="5:12" s="10" customFormat="1" ht="23.25">
      <c r="E32" s="11"/>
      <c r="K32" s="12"/>
      <c r="L32" s="12"/>
    </row>
    <row r="33" spans="5:12" s="10" customFormat="1" ht="23.25">
      <c r="E33" s="11"/>
      <c r="K33" s="12"/>
      <c r="L33" s="12"/>
    </row>
    <row r="34" spans="5:12" s="10" customFormat="1" ht="23.25">
      <c r="E34" s="11"/>
      <c r="K34" s="12"/>
      <c r="L34" s="12"/>
    </row>
    <row r="35" spans="5:12" s="10" customFormat="1" ht="23.25">
      <c r="E35" s="11"/>
      <c r="K35" s="12"/>
      <c r="L35" s="12"/>
    </row>
    <row r="36" spans="5:12" s="10" customFormat="1" ht="23.25">
      <c r="E36" s="11"/>
      <c r="K36" s="12"/>
      <c r="L36" s="12"/>
    </row>
    <row r="37" spans="5:12" s="10" customFormat="1" ht="23.25">
      <c r="E37" s="11"/>
      <c r="K37" s="12"/>
      <c r="L37" s="12"/>
    </row>
    <row r="38" spans="5:12" s="10" customFormat="1" ht="23.25">
      <c r="E38" s="11"/>
      <c r="K38" s="12"/>
      <c r="L38" s="12"/>
    </row>
    <row r="39" spans="5:12" s="10" customFormat="1" ht="23.25">
      <c r="E39" s="11"/>
      <c r="K39" s="12"/>
      <c r="L39" s="12"/>
    </row>
    <row r="40" spans="5:12" s="10" customFormat="1" ht="23.25">
      <c r="E40" s="11"/>
      <c r="K40" s="12"/>
      <c r="L40" s="12"/>
    </row>
    <row r="41" spans="5:12" s="10" customFormat="1" ht="23.25">
      <c r="E41" s="11"/>
      <c r="K41" s="12"/>
      <c r="L41" s="12"/>
    </row>
    <row r="42" spans="5:12" s="10" customFormat="1" ht="23.25">
      <c r="E42" s="11"/>
      <c r="K42" s="12"/>
      <c r="L42" s="12"/>
    </row>
    <row r="43" spans="5:12" s="10" customFormat="1" ht="23.25">
      <c r="E43" s="11"/>
      <c r="K43" s="12"/>
      <c r="L43" s="12"/>
    </row>
    <row r="44" spans="5:12" s="10" customFormat="1" ht="23.25">
      <c r="E44" s="11"/>
      <c r="K44" s="12"/>
      <c r="L44" s="12"/>
    </row>
    <row r="45" spans="5:12" s="10" customFormat="1" ht="23.25">
      <c r="E45" s="11"/>
      <c r="K45" s="12"/>
      <c r="L45" s="12"/>
    </row>
    <row r="46" spans="5:12" s="10" customFormat="1" ht="23.25">
      <c r="E46" s="11"/>
      <c r="K46" s="12"/>
      <c r="L46" s="12"/>
    </row>
    <row r="47" spans="5:12" s="10" customFormat="1" ht="23.25">
      <c r="E47" s="11"/>
      <c r="K47" s="12"/>
      <c r="L47" s="12"/>
    </row>
    <row r="48" spans="5:12" s="10" customFormat="1" ht="23.25">
      <c r="E48" s="11"/>
      <c r="K48" s="12"/>
      <c r="L48" s="12"/>
    </row>
    <row r="49" spans="5:12" s="10" customFormat="1" ht="23.25">
      <c r="E49" s="11"/>
      <c r="K49" s="12"/>
      <c r="L49" s="12"/>
    </row>
    <row r="50" spans="5:12" s="10" customFormat="1" ht="23.25">
      <c r="E50" s="11"/>
      <c r="K50" s="12"/>
      <c r="L50" s="12"/>
    </row>
    <row r="51" spans="5:12" s="10" customFormat="1" ht="23.25">
      <c r="E51" s="11"/>
      <c r="K51" s="12"/>
      <c r="L51" s="12"/>
    </row>
    <row r="52" spans="5:12" s="10" customFormat="1" ht="23.25">
      <c r="E52" s="11"/>
      <c r="K52" s="12"/>
      <c r="L52" s="12"/>
    </row>
    <row r="53" spans="5:12" s="10" customFormat="1" ht="23.25">
      <c r="E53" s="11"/>
      <c r="K53" s="12"/>
      <c r="L53" s="12"/>
    </row>
    <row r="54" spans="5:12" s="10" customFormat="1" ht="23.25">
      <c r="E54" s="11"/>
      <c r="K54" s="12"/>
      <c r="L54" s="12"/>
    </row>
    <row r="55" spans="5:12" s="10" customFormat="1" ht="23.25">
      <c r="E55" s="11"/>
      <c r="K55" s="12"/>
      <c r="L55" s="12"/>
    </row>
    <row r="56" spans="5:12" s="10" customFormat="1" ht="23.25">
      <c r="E56" s="11"/>
      <c r="K56" s="12"/>
      <c r="L56" s="12"/>
    </row>
    <row r="57" spans="5:12" s="10" customFormat="1" ht="23.25">
      <c r="E57" s="11"/>
      <c r="K57" s="12"/>
      <c r="L57" s="12"/>
    </row>
    <row r="58" spans="5:12" s="10" customFormat="1" ht="23.25">
      <c r="E58" s="11"/>
      <c r="K58" s="12"/>
      <c r="L58" s="12"/>
    </row>
    <row r="59" spans="5:12" s="10" customFormat="1" ht="23.25">
      <c r="E59" s="11"/>
      <c r="K59" s="12"/>
      <c r="L59" s="12"/>
    </row>
    <row r="60" spans="5:12" s="10" customFormat="1" ht="23.25">
      <c r="E60" s="11"/>
      <c r="K60" s="12"/>
      <c r="L60" s="12"/>
    </row>
    <row r="61" spans="5:12" s="10" customFormat="1" ht="23.25">
      <c r="E61" s="11"/>
      <c r="K61" s="12"/>
      <c r="L61" s="12"/>
    </row>
    <row r="62" spans="5:12" s="10" customFormat="1" ht="23.25">
      <c r="E62" s="11"/>
      <c r="K62" s="12"/>
      <c r="L62" s="12"/>
    </row>
    <row r="63" spans="5:12" s="10" customFormat="1" ht="23.25">
      <c r="E63" s="11"/>
      <c r="K63" s="12"/>
      <c r="L63" s="12"/>
    </row>
    <row r="64" spans="5:12" s="10" customFormat="1" ht="23.25">
      <c r="E64" s="11"/>
      <c r="K64" s="12"/>
      <c r="L64" s="12"/>
    </row>
    <row r="65" spans="5:12" s="10" customFormat="1" ht="23.25">
      <c r="E65" s="11"/>
      <c r="K65" s="12"/>
      <c r="L65" s="12"/>
    </row>
    <row r="66" spans="5:12" s="10" customFormat="1" ht="23.25">
      <c r="E66" s="11"/>
      <c r="K66" s="12"/>
      <c r="L66" s="12"/>
    </row>
    <row r="67" spans="5:12" s="10" customFormat="1" ht="23.25">
      <c r="E67" s="11"/>
      <c r="K67" s="12"/>
      <c r="L67" s="12"/>
    </row>
    <row r="68" s="10" customFormat="1" ht="15"/>
    <row r="69" s="10" customFormat="1" ht="15"/>
    <row r="70" s="10" customFormat="1" ht="15"/>
    <row r="71" s="10" customFormat="1" ht="15">
      <c r="F71" s="10" t="s">
        <v>26</v>
      </c>
    </row>
    <row r="72" s="10" customFormat="1" ht="15"/>
    <row r="73" s="10" customFormat="1" ht="15">
      <c r="F73" s="10">
        <f>C6*0.15/52.178</f>
        <v>0</v>
      </c>
    </row>
    <row r="74" spans="6:7" s="10" customFormat="1" ht="15">
      <c r="F74" s="10">
        <f>((C6-9500)*0.21+1425)/52.178</f>
        <v>-10.924144275365096</v>
      </c>
      <c r="G74" s="10">
        <f>IF(F74&gt;F73,F74,F73)</f>
        <v>0</v>
      </c>
    </row>
    <row r="75" s="10" customFormat="1" ht="15">
      <c r="F75" s="10">
        <f>((C6-38000)*0.33+18500*0.21+1425)/52.178</f>
        <v>-138.56414580857833</v>
      </c>
    </row>
    <row r="76" spans="6:8" s="10" customFormat="1" ht="15">
      <c r="F76" s="10">
        <f>((C6-60000)*0.39+(32000*0.33)+(18500*0.21)+1425)/52.178</f>
        <v>-144.31369542719153</v>
      </c>
      <c r="G76" s="10">
        <f>IF(F76&gt;F75,F76,F75)</f>
        <v>-138.56414580857833</v>
      </c>
      <c r="H76" s="10">
        <f>IF(G76&gt;G74,G76,G74)</f>
        <v>0</v>
      </c>
    </row>
    <row r="77" s="10" customFormat="1" ht="15">
      <c r="B77" s="10" t="s">
        <v>25</v>
      </c>
    </row>
    <row r="78" s="10" customFormat="1" ht="15">
      <c r="F78" s="10">
        <f>C13*0.15/52.178</f>
        <v>0</v>
      </c>
    </row>
    <row r="79" spans="2:7" s="10" customFormat="1" ht="15">
      <c r="B79" s="10">
        <f>C6*0.15/51.18</f>
        <v>0</v>
      </c>
      <c r="F79" s="10">
        <f>((C13-9500)*0.21+1425)/52.178</f>
        <v>-10.924144275365096</v>
      </c>
      <c r="G79" s="10">
        <f>IF(F79&gt;F78,F79,F78)</f>
        <v>0</v>
      </c>
    </row>
    <row r="80" spans="1:6" s="10" customFormat="1" ht="15">
      <c r="A80" s="10" t="s">
        <v>14</v>
      </c>
      <c r="B80" s="10">
        <f>((C6-9500)*0.21+1425)/52.178</f>
        <v>-10.924144275365096</v>
      </c>
      <c r="C80" s="10">
        <f>IF(B80&gt;B79,B80,B79)</f>
        <v>0</v>
      </c>
      <c r="F80" s="10">
        <f>((C13-38000)*0.33+18500*0.21+1425)/52.178</f>
        <v>-138.56414580857833</v>
      </c>
    </row>
    <row r="81" spans="2:8" s="10" customFormat="1" ht="15">
      <c r="B81" s="10">
        <f>((C6-38000)*0.33+18500*0.21+1425)/52.178</f>
        <v>-138.56414580857833</v>
      </c>
      <c r="E81" s="10" t="s">
        <v>24</v>
      </c>
      <c r="F81" s="10">
        <f>((C13-60000)*0.39+(32000*0.33)+(18500*0.21)+1425)/52.178</f>
        <v>-144.31369542719153</v>
      </c>
      <c r="G81" s="10">
        <f>IF(F81&gt;F80,F81,F80)</f>
        <v>-138.56414580857833</v>
      </c>
      <c r="H81" s="10">
        <f>IF(G81&gt;G79,G81,G79)</f>
        <v>0</v>
      </c>
    </row>
    <row r="82" spans="2:4" s="10" customFormat="1" ht="15">
      <c r="B82" s="10">
        <f>((C6-60000)*0.39+(32000*0.33)+(18500*0.21)+1425)/52.178</f>
        <v>-144.31369542719153</v>
      </c>
      <c r="C82" s="10">
        <f>IF(B82&gt;B81,B82,B81)</f>
        <v>-138.56414580857833</v>
      </c>
      <c r="D82" s="10">
        <f>IF(C82&gt;C80,C82,C80)</f>
        <v>0</v>
      </c>
    </row>
    <row r="83" s="10" customFormat="1" ht="15"/>
    <row r="84" s="10" customFormat="1" ht="15">
      <c r="B84" s="10">
        <f>C13*0.15/52.178</f>
        <v>0</v>
      </c>
    </row>
    <row r="85" spans="1:6" s="10" customFormat="1" ht="15">
      <c r="A85" s="10" t="s">
        <v>19</v>
      </c>
      <c r="B85" s="10">
        <f>((C13-9500)*0.21+1425)/52.178</f>
        <v>-10.924144275365096</v>
      </c>
      <c r="C85" s="10">
        <f>IF(B85&gt;B84,B85,B84)</f>
        <v>0</v>
      </c>
      <c r="F85" s="10">
        <f>C6*0.125/52.178</f>
        <v>0</v>
      </c>
    </row>
    <row r="86" spans="2:7" s="10" customFormat="1" ht="15">
      <c r="B86" s="10">
        <f>((C13-38000)*0.33+18500*0.21+1425)/52.178</f>
        <v>-138.56414580857833</v>
      </c>
      <c r="F86" s="10">
        <f>((C6-14000)*0.21+1750)/52.178</f>
        <v>-22.80654682049906</v>
      </c>
      <c r="G86" s="10">
        <f>IF(F86&gt;F85,F86,F85)</f>
        <v>0</v>
      </c>
    </row>
    <row r="87" spans="2:6" s="10" customFormat="1" ht="15">
      <c r="B87" s="10">
        <f>((C13-60000)*0.39+(32000*0.33)+(18500*0.21)+1425)/52.178</f>
        <v>-144.31369542719153</v>
      </c>
      <c r="C87" s="10">
        <f>IF(B87&gt;B86,B87,B86)</f>
        <v>-138.56414580857833</v>
      </c>
      <c r="D87" s="10">
        <f>IF(C87&gt;C85,C87,C85)</f>
        <v>0</v>
      </c>
      <c r="F87" s="10">
        <f>((C6-40000)*0.33+26000*0.21+1750)/52.178</f>
        <v>-114.7993407183104</v>
      </c>
    </row>
    <row r="88" spans="6:8" s="10" customFormat="1" ht="15">
      <c r="F88" s="10">
        <f>((C6-70000)*0.39+(30000*0.33)+(26000*0.21)+1750)/52.178</f>
        <v>-195.29303537889533</v>
      </c>
      <c r="G88" s="10">
        <f>IF(F88&gt;F87,F88,F87)</f>
        <v>-114.7993407183104</v>
      </c>
      <c r="H88" s="10">
        <f>IF(G88&gt;G86,G88,G86)</f>
        <v>0</v>
      </c>
    </row>
    <row r="89" s="10" customFormat="1" ht="15"/>
    <row r="90" s="10" customFormat="1" ht="15">
      <c r="F90" s="10">
        <f>C13*0.125/52.178</f>
        <v>0</v>
      </c>
    </row>
    <row r="91" spans="2:7" s="10" customFormat="1" ht="15">
      <c r="B91" s="10">
        <f>C6*0.125/52.178</f>
        <v>0</v>
      </c>
      <c r="F91" s="10">
        <f>((C13-14000)*0.21+1750)/52.178</f>
        <v>-22.80654682049906</v>
      </c>
      <c r="G91" s="10">
        <f>IF(F91&gt;F90,F91,F90)</f>
        <v>0</v>
      </c>
    </row>
    <row r="92" spans="1:6" s="10" customFormat="1" ht="15">
      <c r="A92" s="10" t="s">
        <v>14</v>
      </c>
      <c r="B92" s="10">
        <f>((C6-14000)*0.21+1750)/52.178</f>
        <v>-22.80654682049906</v>
      </c>
      <c r="C92" s="10">
        <f>IF(B92&gt;B91,B92,B91)</f>
        <v>0</v>
      </c>
      <c r="F92" s="10">
        <f>((C13-40000)*0.33+26000*0.21+1750)/52.178</f>
        <v>-114.7993407183104</v>
      </c>
    </row>
    <row r="93" spans="2:8" s="10" customFormat="1" ht="15">
      <c r="B93" s="10">
        <f>((C6-40000)*0.33+26000*0.21+1750)/52.178</f>
        <v>-114.7993407183104</v>
      </c>
      <c r="E93" s="10">
        <v>2008</v>
      </c>
      <c r="F93" s="10">
        <f>((C13-70000)*0.39+(30000*0.33)+(26000*0.21)+1750)/52.178</f>
        <v>-195.29303537889533</v>
      </c>
      <c r="G93" s="10">
        <f>IF(F93&gt;F92,F93,F92)</f>
        <v>-114.7993407183104</v>
      </c>
      <c r="H93" s="10">
        <f>IF(G93&gt;G91,G93,G91)</f>
        <v>0</v>
      </c>
    </row>
    <row r="94" spans="2:4" s="10" customFormat="1" ht="15">
      <c r="B94" s="10">
        <f>((C6-70000)*0.39+(30000*0.33)+(26000*0.21)+1750)/52.178</f>
        <v>-195.29303537889533</v>
      </c>
      <c r="C94" s="10">
        <f>IF(B94&gt;B93,B94,B93)</f>
        <v>-114.7993407183104</v>
      </c>
      <c r="D94" s="10">
        <f>IF(C94&gt;C92,C94,C92)</f>
        <v>0</v>
      </c>
    </row>
    <row r="95" s="10" customFormat="1" ht="15"/>
    <row r="96" spans="2:6" s="10" customFormat="1" ht="15">
      <c r="B96" s="10">
        <f>C13*0.125/52.178</f>
        <v>0</v>
      </c>
      <c r="F96" s="10">
        <f>C6*0.125/52.178</f>
        <v>0</v>
      </c>
    </row>
    <row r="97" spans="1:7" s="10" customFormat="1" ht="15">
      <c r="A97" s="10" t="s">
        <v>19</v>
      </c>
      <c r="B97" s="10">
        <f>((C13-14000)*0.21+1750)/52.178</f>
        <v>-22.80654682049906</v>
      </c>
      <c r="C97" s="10">
        <f>IF(B97&gt;B96,B97,B96)</f>
        <v>0</v>
      </c>
      <c r="F97" s="10">
        <f>((C6-14000)*0.21+1750)/52.178</f>
        <v>-22.80654682049906</v>
      </c>
      <c r="G97" s="10">
        <f>IF(F97&gt;F96,F97,F96)</f>
        <v>0</v>
      </c>
    </row>
    <row r="98" spans="2:6" s="10" customFormat="1" ht="15">
      <c r="B98" s="10">
        <f>((C13-40000)*0.33+26000*0.21+1750)/52.178</f>
        <v>-114.7993407183104</v>
      </c>
      <c r="F98" s="10">
        <f>((C6-48000)*0.33+34000*0.21+1750)/52.178</f>
        <v>-133.19789949787267</v>
      </c>
    </row>
    <row r="99" spans="2:8" s="10" customFormat="1" ht="15">
      <c r="B99" s="10">
        <f>((C13-70000)*0.39+(30000*0.33)+(26000*0.21)+1750)/52.178</f>
        <v>-195.29303537889533</v>
      </c>
      <c r="C99" s="10">
        <f>IF(B99&gt;B98,B99,B98)</f>
        <v>-114.7993407183104</v>
      </c>
      <c r="D99" s="10">
        <f>IF(C99&gt;C97,C99,C97)</f>
        <v>0</v>
      </c>
      <c r="F99" s="10">
        <f>((C6-70000)*0.38+(22000*0.33)+(34000*0.21)+1750)/52.178</f>
        <v>-200.27597838169345</v>
      </c>
      <c r="G99" s="10">
        <f>IF(F99&gt;F98,F99,F98)</f>
        <v>-133.19789949787267</v>
      </c>
      <c r="H99" s="10">
        <f>IF(G99&gt;G97,G99,G97)</f>
        <v>0</v>
      </c>
    </row>
    <row r="100" s="10" customFormat="1" ht="15"/>
    <row r="101" s="10" customFormat="1" ht="15">
      <c r="F101" s="10">
        <f>C13*0.125/52.178</f>
        <v>0</v>
      </c>
    </row>
    <row r="102" spans="2:7" s="10" customFormat="1" ht="15">
      <c r="B102" s="10">
        <f>C6*0.125/52.178</f>
        <v>0</v>
      </c>
      <c r="F102" s="10">
        <f>((C13-14000)*0.21+1750)/52.178</f>
        <v>-22.80654682049906</v>
      </c>
      <c r="G102" s="10">
        <f>IF(F102&gt;F101,F102,F101)</f>
        <v>0</v>
      </c>
    </row>
    <row r="103" spans="1:6" s="10" customFormat="1" ht="15">
      <c r="A103" s="10" t="s">
        <v>14</v>
      </c>
      <c r="B103" s="10">
        <f>((C6-14000)*0.21+1750)/52.178</f>
        <v>-22.80654682049906</v>
      </c>
      <c r="C103" s="10">
        <f>IF(B103&gt;B102,B103,B102)</f>
        <v>0</v>
      </c>
      <c r="F103" s="10">
        <f>((C13-48000)*0.33+34000*0.21+1750)/52.178</f>
        <v>-133.19789949787267</v>
      </c>
    </row>
    <row r="104" spans="2:8" s="10" customFormat="1" ht="15">
      <c r="B104" s="10">
        <f>((C6-40000)*0.33+26000*0.21+1750)/52.178</f>
        <v>-114.7993407183104</v>
      </c>
      <c r="E104" s="10">
        <v>2009</v>
      </c>
      <c r="F104" s="10">
        <f>((C13-70000)*0.38+(22000*0.33)+(34000*0.21)+1750)/52.178</f>
        <v>-200.27597838169345</v>
      </c>
      <c r="G104" s="10">
        <f>IF(F104&gt;F103,F104,F103)</f>
        <v>-133.19789949787267</v>
      </c>
      <c r="H104" s="10">
        <f>IF(G104&gt;G102,G104,G102)</f>
        <v>0</v>
      </c>
    </row>
    <row r="105" spans="2:10" s="10" customFormat="1" ht="15">
      <c r="B105" s="10">
        <f>((C6-70000)*0.39+(30000*0.33)+(26000*0.21)+1750)/52.178</f>
        <v>-195.29303537889533</v>
      </c>
      <c r="C105" s="10">
        <f>IF(B105&gt;B104,B105,B104)</f>
        <v>-114.7993407183104</v>
      </c>
      <c r="D105" s="10">
        <f>IF(C105&gt;C103,C105,C103)</f>
        <v>0</v>
      </c>
      <c r="J105" s="10" t="s">
        <v>6</v>
      </c>
    </row>
    <row r="106" s="10" customFormat="1" ht="15">
      <c r="J106" s="10" t="s">
        <v>21</v>
      </c>
    </row>
    <row r="107" spans="2:10" s="10" customFormat="1" ht="15">
      <c r="B107" s="10">
        <f>C13*0.125/52.178</f>
        <v>0</v>
      </c>
      <c r="F107" s="10">
        <f>C6*0.125/52.178</f>
        <v>0</v>
      </c>
      <c r="J107" s="10" t="s">
        <v>8</v>
      </c>
    </row>
    <row r="108" spans="1:10" s="10" customFormat="1" ht="15">
      <c r="A108" s="10" t="s">
        <v>19</v>
      </c>
      <c r="B108" s="10">
        <f>((C13-14000)*0.21+1750)/52.178</f>
        <v>-22.80654682049906</v>
      </c>
      <c r="C108" s="10">
        <f>IF(B108&gt;B107,B108,B107)</f>
        <v>0</v>
      </c>
      <c r="F108" s="10">
        <f>((C6-14000)*0.21+1750)/52.178</f>
        <v>-22.80654682049906</v>
      </c>
      <c r="G108" s="10">
        <f>IF(F108&gt;F107,F108,F107)</f>
        <v>0</v>
      </c>
      <c r="J108" s="10" t="s">
        <v>9</v>
      </c>
    </row>
    <row r="109" spans="2:10" s="10" customFormat="1" ht="15">
      <c r="B109" s="10">
        <f>((C13-40000)*0.33+26000*0.21+1750)/52.178</f>
        <v>-114.7993407183104</v>
      </c>
      <c r="F109" s="10">
        <f>((C6-50000)*0.33+36000*0.21+1750)/52.178</f>
        <v>-137.79753919276325</v>
      </c>
      <c r="J109" s="10" t="s">
        <v>10</v>
      </c>
    </row>
    <row r="110" spans="2:10" s="10" customFormat="1" ht="15">
      <c r="B110" s="10">
        <f>((C13-70000)*0.39+(30000*0.33)+(26000*0.21)+1750)/52.178</f>
        <v>-195.29303537889533</v>
      </c>
      <c r="C110" s="10">
        <f>IF(B110&gt;B109,B110,B109)</f>
        <v>-114.7993407183104</v>
      </c>
      <c r="D110" s="10">
        <f>IF(C110&gt;C108,C110,C108)</f>
        <v>0</v>
      </c>
      <c r="F110" s="10">
        <f>((C6-70000)*0.38+(20000*0.33)+(36000*0.21)+1750)/52.178</f>
        <v>-204.875618076584</v>
      </c>
      <c r="G110" s="10">
        <f>IF(F110&gt;F109,F110,F109)</f>
        <v>-137.79753919276325</v>
      </c>
      <c r="H110" s="10">
        <f>IF(G110&gt;G108,G110,G108)</f>
        <v>0</v>
      </c>
      <c r="J110" s="10" t="s">
        <v>11</v>
      </c>
    </row>
    <row r="111" s="10" customFormat="1" ht="15"/>
    <row r="112" spans="6:20" s="10" customFormat="1" ht="15">
      <c r="F112" s="10">
        <f>C13*0.125/52.178</f>
        <v>0</v>
      </c>
      <c r="K112" s="10">
        <f>IF(C6&lt;24000,0,1)</f>
        <v>0</v>
      </c>
      <c r="N112" s="10" t="s">
        <v>6</v>
      </c>
      <c r="O112" s="10">
        <f>IF(C13&lt;24000,0,1)</f>
        <v>0</v>
      </c>
      <c r="R112" s="10" t="s">
        <v>22</v>
      </c>
      <c r="S112" s="10">
        <f>IF(C6&lt;26000,1,0)</f>
        <v>1</v>
      </c>
      <c r="T112" s="10">
        <f>IF(S112=1,(C6*0.04/52.178),0)</f>
        <v>0</v>
      </c>
    </row>
    <row r="113" spans="2:20" s="10" customFormat="1" ht="15">
      <c r="B113" s="10">
        <f>C6*0.125/52.178</f>
        <v>0</v>
      </c>
      <c r="F113" s="10">
        <f>((C13-14000)*0.21+1750)/52.178</f>
        <v>-22.80654682049906</v>
      </c>
      <c r="G113" s="10">
        <f>IF(F113&gt;F112,F113,F112)</f>
        <v>0</v>
      </c>
      <c r="K113" s="10">
        <f>IF(C6&gt;48000,0,1)</f>
        <v>1</v>
      </c>
      <c r="N113" s="10" t="s">
        <v>21</v>
      </c>
      <c r="O113" s="10">
        <f>IF(C13&gt;48000,0,1)</f>
        <v>1</v>
      </c>
      <c r="S113" s="10">
        <f>IF(C6&gt;26000,1,0)</f>
        <v>0</v>
      </c>
      <c r="T113" s="10">
        <f>IF(S113=1,20,0)</f>
        <v>0</v>
      </c>
    </row>
    <row r="114" spans="1:20" s="10" customFormat="1" ht="15">
      <c r="A114" s="10" t="s">
        <v>14</v>
      </c>
      <c r="B114" s="10">
        <f>((C6-17500)*0.21+2187.5)/52.178</f>
        <v>-28.508183525623828</v>
      </c>
      <c r="C114" s="10">
        <f>IF(B114&gt;B113,B114,B113)</f>
        <v>0</v>
      </c>
      <c r="F114" s="10">
        <f>((C13-48000)*0.33+34000*0.21+1750)/52.178</f>
        <v>-133.19789949787267</v>
      </c>
      <c r="K114" s="10">
        <f>SUM(K112:K113)</f>
        <v>1</v>
      </c>
      <c r="L114" s="10">
        <f>IF(K114=2,2,0)</f>
        <v>0</v>
      </c>
      <c r="N114" s="10" t="s">
        <v>8</v>
      </c>
      <c r="O114" s="10">
        <f>SUM(O112:O113)</f>
        <v>1</v>
      </c>
      <c r="P114" s="10">
        <f>IF(O114=2,2,0)</f>
        <v>0</v>
      </c>
      <c r="S114" s="10">
        <f>IF(C6&gt;52000,1,0)</f>
        <v>0</v>
      </c>
      <c r="T114" s="10">
        <f>IF(S114=1,C6*0.02/52.178,0)</f>
        <v>0</v>
      </c>
    </row>
    <row r="115" spans="2:20" s="10" customFormat="1" ht="15">
      <c r="B115" s="10">
        <f>((C6-40000)*0.33+22500*0.21+2187.5)/52.178</f>
        <v>-120.50097742343517</v>
      </c>
      <c r="E115" s="10">
        <v>2010</v>
      </c>
      <c r="F115" s="10">
        <f>((C13-70000)*0.38+(22000*0.33)+(34000*0.21)+1750)/52.178</f>
        <v>-200.27597838169345</v>
      </c>
      <c r="G115" s="10">
        <f>IF(F115&gt;F114,F115,F114)</f>
        <v>-133.19789949787267</v>
      </c>
      <c r="H115" s="10">
        <f>IF(G115&gt;G113,G115,G113)</f>
        <v>0</v>
      </c>
      <c r="K115" s="10">
        <f>IF(C6&gt;44000,1,0)</f>
        <v>0</v>
      </c>
      <c r="L115" s="10">
        <f>IF(SUM(L114+K115)=3,10-((C6-44000)/52.178*0.13),0)</f>
        <v>0</v>
      </c>
      <c r="N115" s="10" t="s">
        <v>9</v>
      </c>
      <c r="O115" s="10">
        <f>IF(C13&gt;44000,1,0)</f>
        <v>0</v>
      </c>
      <c r="P115" s="10">
        <f>IF(SUM(P114+O115)=3,10-((C13-44000)/52.178*0.13),0)</f>
        <v>0</v>
      </c>
      <c r="T115" s="10">
        <f>IF(SUM(S113:S114)=1,T113,0)</f>
        <v>0</v>
      </c>
    </row>
    <row r="116" spans="2:20" s="10" customFormat="1" ht="15">
      <c r="B116" s="10">
        <f>((C6-75000)*0.39+(35000*0.33)+(22500*0.21)+2187.5)/52.178</f>
        <v>-206.7442217026333</v>
      </c>
      <c r="C116" s="10">
        <f>IF(B116&gt;B115,B116,B115)</f>
        <v>-120.50097742343517</v>
      </c>
      <c r="D116" s="10">
        <f>IF(C116&gt;C114,C116,C114)</f>
        <v>0</v>
      </c>
      <c r="J116" s="10" t="s">
        <v>6</v>
      </c>
      <c r="L116" s="10">
        <f>IF(SUM(K115+L114)=2,10,0)</f>
        <v>0</v>
      </c>
      <c r="N116" s="10" t="s">
        <v>10</v>
      </c>
      <c r="P116" s="10">
        <f>IF(SUM(O115+P114)=2,10,0)</f>
        <v>0</v>
      </c>
      <c r="T116" s="10">
        <f>IF(SUM(S113:S114)=2,T114,0)</f>
        <v>0</v>
      </c>
    </row>
    <row r="117" spans="10:20" s="10" customFormat="1" ht="15">
      <c r="J117" s="10" t="s">
        <v>7</v>
      </c>
      <c r="L117" s="10">
        <f>SUM(L115:L116)</f>
        <v>0</v>
      </c>
      <c r="N117" s="10" t="s">
        <v>11</v>
      </c>
      <c r="P117" s="10">
        <f>SUM(P115:P116)</f>
        <v>0</v>
      </c>
      <c r="S117" s="10" t="b">
        <v>0</v>
      </c>
      <c r="T117" s="10">
        <f>IF(S117=TRUE,SUM(T115:T116)+T112,0)</f>
        <v>0</v>
      </c>
    </row>
    <row r="118" spans="2:20" s="10" customFormat="1" ht="15">
      <c r="B118" s="10">
        <f>C13*0.125/52.178</f>
        <v>0</v>
      </c>
      <c r="F118" s="10">
        <f>C6*0.125/52.178</f>
        <v>0</v>
      </c>
      <c r="J118" s="10" t="s">
        <v>8</v>
      </c>
      <c r="K118" s="10" t="b">
        <f>IF(K129=TRUE,TRUE,FALSE)</f>
        <v>0</v>
      </c>
      <c r="L118" s="10">
        <f>IF(K118=TRUE,1,0)</f>
        <v>0</v>
      </c>
      <c r="O118" s="10" t="b">
        <f>IF(O129=TRUE,TRUE,FALSE)</f>
        <v>0</v>
      </c>
      <c r="P118" s="10">
        <f>IF(O118=TRUE,1,0)</f>
        <v>0</v>
      </c>
      <c r="S118" s="10" t="s">
        <v>12</v>
      </c>
      <c r="T118" s="10">
        <f>T117</f>
        <v>0</v>
      </c>
    </row>
    <row r="119" spans="1:16" s="10" customFormat="1" ht="15">
      <c r="A119" s="10" t="s">
        <v>19</v>
      </c>
      <c r="B119" s="10">
        <f>((C13-17500)*0.21+2187.5)/52.178</f>
        <v>-28.508183525623828</v>
      </c>
      <c r="C119" s="10">
        <f>IF(B119&gt;B118,B119,B118)</f>
        <v>0</v>
      </c>
      <c r="F119" s="10">
        <f>((C6-14000)*0.2+1750)/52.178</f>
        <v>-20.12342366514623</v>
      </c>
      <c r="G119" s="10">
        <f>IF(F119&gt;F118,F119,F118)</f>
        <v>0</v>
      </c>
      <c r="J119" s="10" t="s">
        <v>9</v>
      </c>
      <c r="K119" s="10" t="b">
        <f>IF(K130=TRUE,TRUE,FALSE)</f>
        <v>0</v>
      </c>
      <c r="L119" s="10">
        <f>IF(K119=TRUE,1,0)</f>
        <v>0</v>
      </c>
      <c r="O119" s="10" t="b">
        <f>IF(O130=TRUE,TRUE,FALSE)</f>
        <v>0</v>
      </c>
      <c r="P119" s="10">
        <f>IF(O119=TRUE,1,0)</f>
        <v>0</v>
      </c>
    </row>
    <row r="120" spans="2:20" s="10" customFormat="1" ht="15">
      <c r="B120" s="10">
        <f>((C13-40000)*0.33+22500*0.21+2187.5)/52.178</f>
        <v>-120.50097742343517</v>
      </c>
      <c r="F120" s="10">
        <f>((C6-50000)*0.33+36000*0.2+1750)/52.178</f>
        <v>-144.6969987350991</v>
      </c>
      <c r="J120" s="10" t="s">
        <v>10</v>
      </c>
      <c r="K120" s="10" t="b">
        <f>IF(K131=TRUE,TRUE,FALSE)</f>
        <v>0</v>
      </c>
      <c r="L120" s="10">
        <f>IF(K120=TRUE,1,0)</f>
        <v>0</v>
      </c>
      <c r="O120" s="10" t="b">
        <f>IF(O131=TRUE,TRUE,FALSE)</f>
        <v>0</v>
      </c>
      <c r="P120" s="10">
        <f>IF(O120=TRUE,1,0)</f>
        <v>0</v>
      </c>
      <c r="R120" s="10" t="s">
        <v>23</v>
      </c>
      <c r="S120" s="10">
        <f>IF(C13&lt;26000,1,0)</f>
        <v>1</v>
      </c>
      <c r="T120" s="10">
        <f>IF(S120=1,(C13*0.04/52.178),0)</f>
        <v>0</v>
      </c>
    </row>
    <row r="121" spans="2:20" s="10" customFormat="1" ht="15">
      <c r="B121" s="10">
        <f>((C13-75000)*0.39+(35000*0.33)+(22500*0.21)+2187.5)/52.178</f>
        <v>-206.7442217026333</v>
      </c>
      <c r="C121" s="10">
        <f>IF(B121&gt;B120,B121,B120)</f>
        <v>-120.50097742343517</v>
      </c>
      <c r="D121" s="10">
        <f>IF(C121&gt;C119,C121,C119)</f>
        <v>0</v>
      </c>
      <c r="F121" s="10">
        <f>((C6-70000)*0.37+(20000*0.33)+(36000*0.2)+1750)/52.178</f>
        <v>-198.3594618421557</v>
      </c>
      <c r="G121" s="10">
        <f>IF(F121&gt;F120,F121,F120)</f>
        <v>-144.6969987350991</v>
      </c>
      <c r="H121" s="10">
        <f>IF(G121&gt;G119,G121,G119)</f>
        <v>0</v>
      </c>
      <c r="J121" s="10" t="s">
        <v>11</v>
      </c>
      <c r="K121" s="10" t="s">
        <v>20</v>
      </c>
      <c r="L121" s="10">
        <f>IF(SUM(L118:L120)&gt;0,0,L117)</f>
        <v>0</v>
      </c>
      <c r="O121" s="10" t="s">
        <v>20</v>
      </c>
      <c r="P121" s="10">
        <f>IF(SUM(P118:P120)&gt;0,0,P117)</f>
        <v>0</v>
      </c>
      <c r="S121" s="10">
        <f>IF(C13&gt;26000,1,0)</f>
        <v>0</v>
      </c>
      <c r="T121" s="10">
        <f>IF(S121=1,20,0)</f>
        <v>0</v>
      </c>
    </row>
    <row r="122" spans="19:20" s="10" customFormat="1" ht="15">
      <c r="S122" s="10">
        <f>IF(C13&gt;52000,1,0)</f>
        <v>0</v>
      </c>
      <c r="T122" s="10">
        <f>IF(S122=1,C13*0.02/52.178,0)</f>
        <v>0</v>
      </c>
    </row>
    <row r="123" spans="6:20" s="10" customFormat="1" ht="15">
      <c r="F123" s="10">
        <f>C13*0.125/52.178</f>
        <v>0</v>
      </c>
      <c r="K123" s="10">
        <f>IF(C6&lt;24000,0,1)</f>
        <v>0</v>
      </c>
      <c r="N123" s="10" t="s">
        <v>6</v>
      </c>
      <c r="O123" s="10">
        <f>IF(C13&lt;24000,0,1)</f>
        <v>0</v>
      </c>
      <c r="T123" s="10">
        <f>IF(SUM(S121:S122)=1,T121,0)</f>
        <v>0</v>
      </c>
    </row>
    <row r="124" spans="2:20" s="10" customFormat="1" ht="15">
      <c r="B124" s="10">
        <f>C6*0.125/52.178</f>
        <v>0</v>
      </c>
      <c r="F124" s="10">
        <f>((C13-14000)*0.2+1750)/52.178</f>
        <v>-20.12342366514623</v>
      </c>
      <c r="G124" s="10">
        <f>IF(F124&gt;F123,F124,F123)</f>
        <v>0</v>
      </c>
      <c r="K124" s="10">
        <f>IF(C6&gt;50000,0,1)</f>
        <v>1</v>
      </c>
      <c r="N124" s="10" t="s">
        <v>7</v>
      </c>
      <c r="O124" s="10">
        <f>IF(C13&gt;50000,0,1)</f>
        <v>1</v>
      </c>
      <c r="T124" s="10">
        <f>IF(SUM(S121:S122)=2,T122,0)</f>
        <v>0</v>
      </c>
    </row>
    <row r="125" spans="1:20" s="10" customFormat="1" ht="15">
      <c r="A125" s="10" t="s">
        <v>14</v>
      </c>
      <c r="B125" s="10">
        <f>((C6-20000)*0.21+2500)/52.178</f>
        <v>-32.58078117214152</v>
      </c>
      <c r="C125" s="10">
        <f>IF(B125&gt;B124,B125,B124)</f>
        <v>0</v>
      </c>
      <c r="F125" s="10">
        <f>((C13-50000)*0.33+36000*0.2+1750)/52.178</f>
        <v>-144.6969987350991</v>
      </c>
      <c r="K125" s="10">
        <f>SUM(K123:K124)</f>
        <v>1</v>
      </c>
      <c r="L125" s="10">
        <f>IF(K125=2,2,0)</f>
        <v>0</v>
      </c>
      <c r="N125" s="10" t="s">
        <v>8</v>
      </c>
      <c r="O125" s="10">
        <f>SUM(O123:O124)</f>
        <v>1</v>
      </c>
      <c r="P125" s="10">
        <f>IF(O125=2,2,0)</f>
        <v>0</v>
      </c>
      <c r="S125" s="10" t="b">
        <v>0</v>
      </c>
      <c r="T125" s="10">
        <f>IF(S125=TRUE,SUM(T123:T124)+T120,0)</f>
        <v>0</v>
      </c>
    </row>
    <row r="126" spans="2:20" s="10" customFormat="1" ht="15">
      <c r="B126" s="10">
        <f>((C6-44000)*0.33+24000*0.21+2500)/52.178</f>
        <v>-133.772854459734</v>
      </c>
      <c r="E126" s="10">
        <v>2011</v>
      </c>
      <c r="F126" s="10">
        <f>((C13-70000)*0.37+(20000*0.33)+(36000*0.2)+1750)/52.178</f>
        <v>-198.3594618421557</v>
      </c>
      <c r="G126" s="10">
        <f>IF(F126&gt;F125,F126,F125)</f>
        <v>-144.6969987350991</v>
      </c>
      <c r="H126" s="10">
        <f>IF(G126&gt;G124,G126,G124)</f>
        <v>0</v>
      </c>
      <c r="K126" s="10">
        <f>IF(C6&gt;44000,1,0)</f>
        <v>0</v>
      </c>
      <c r="L126" s="10">
        <f>IF(SUM(L125+K126)=3,15-((C6-44000)/52.178*0.13),0)</f>
        <v>0</v>
      </c>
      <c r="N126" s="10" t="s">
        <v>9</v>
      </c>
      <c r="O126" s="10">
        <f>IF(C13&gt;44000,1,0)</f>
        <v>0</v>
      </c>
      <c r="P126" s="10">
        <f>IF(SUM(P125+O126)=3,15-((C13-44000)/52.178*0.13),0)</f>
        <v>0</v>
      </c>
      <c r="S126" s="10" t="s">
        <v>12</v>
      </c>
      <c r="T126" s="10">
        <f>T125</f>
        <v>0</v>
      </c>
    </row>
    <row r="127" spans="2:16" s="10" customFormat="1" ht="15">
      <c r="B127" s="10">
        <f>((C6-80000)*0.39+(36000*0.33)+(24000*0.21)+2500)/52.178</f>
        <v>-225.76564835754533</v>
      </c>
      <c r="C127" s="10">
        <f>IF(B127&gt;B126,B127,B126)</f>
        <v>-133.772854459734</v>
      </c>
      <c r="D127" s="10">
        <f>IF(C127&gt;C125,C127,C125)</f>
        <v>0</v>
      </c>
      <c r="L127" s="10">
        <f>IF(SUM(K126+L125)=2,15,0)</f>
        <v>0</v>
      </c>
      <c r="N127" s="10" t="s">
        <v>10</v>
      </c>
      <c r="P127" s="10">
        <f>IF(SUM(O126+P125)&gt;=1,15,0)</f>
        <v>0</v>
      </c>
    </row>
    <row r="128" spans="12:16" s="10" customFormat="1" ht="15">
      <c r="L128" s="10">
        <f>SUM(L126:L127)</f>
        <v>0</v>
      </c>
      <c r="N128" s="10" t="s">
        <v>11</v>
      </c>
      <c r="P128" s="10">
        <f>SUM(P126:P127)</f>
        <v>0</v>
      </c>
    </row>
    <row r="129" spans="2:16" s="10" customFormat="1" ht="15">
      <c r="B129" s="10">
        <f>C13*0.125/52.178</f>
        <v>0</v>
      </c>
      <c r="K129" s="10" t="b">
        <v>0</v>
      </c>
      <c r="L129" s="10">
        <f>IF(K129=TRUE,1,0)</f>
        <v>0</v>
      </c>
      <c r="O129" s="10" t="b">
        <v>0</v>
      </c>
      <c r="P129" s="10">
        <f>IF(O129=TRUE,1,0)</f>
        <v>0</v>
      </c>
    </row>
    <row r="130" spans="1:16" s="10" customFormat="1" ht="15">
      <c r="A130" s="10" t="s">
        <v>19</v>
      </c>
      <c r="B130" s="10">
        <f>((C13-20000)*0.21+2500)/52.178</f>
        <v>-32.58078117214152</v>
      </c>
      <c r="C130" s="10">
        <f>IF(B130&gt;B129,B130,B129)</f>
        <v>0</v>
      </c>
      <c r="K130" s="10" t="b">
        <v>0</v>
      </c>
      <c r="L130" s="10">
        <f>IF(K130=TRUE,1,0)</f>
        <v>0</v>
      </c>
      <c r="O130" s="10" t="b">
        <v>0</v>
      </c>
      <c r="P130" s="10">
        <f>IF(O130=TRUE,1,0)</f>
        <v>0</v>
      </c>
    </row>
    <row r="131" spans="2:16" s="10" customFormat="1" ht="15">
      <c r="B131" s="10">
        <f>((C13-44000)*0.33+24000*0.21+2500)/52.178</f>
        <v>-133.772854459734</v>
      </c>
      <c r="K131" s="10" t="b">
        <v>0</v>
      </c>
      <c r="L131" s="10">
        <f>IF(K131=TRUE,1,0)</f>
        <v>0</v>
      </c>
      <c r="O131" s="10" t="b">
        <v>0</v>
      </c>
      <c r="P131" s="10">
        <f>IF(O131=TRUE,1,0)</f>
        <v>0</v>
      </c>
    </row>
    <row r="132" spans="2:16" s="10" customFormat="1" ht="15">
      <c r="B132" s="10">
        <f>((C13-80000)*0.39+(36000*0.33)+(24000*0.21)+2500)/52.178</f>
        <v>-225.76564835754533</v>
      </c>
      <c r="C132" s="10">
        <f>IF(B132&gt;B131,B132,B131)</f>
        <v>-133.772854459734</v>
      </c>
      <c r="D132" s="10">
        <f>IF(C132&gt;C130,C132,C130)</f>
        <v>0</v>
      </c>
      <c r="K132" s="10" t="s">
        <v>20</v>
      </c>
      <c r="L132" s="10">
        <f>IF(SUM(L129:L131)&gt;0,0,L128)</f>
        <v>0</v>
      </c>
      <c r="O132" s="10" t="s">
        <v>20</v>
      </c>
      <c r="P132" s="10">
        <f>IF(SUM(P129:P131)&gt;0,0,P128)</f>
        <v>0</v>
      </c>
    </row>
    <row r="133" s="10" customFormat="1" ht="15"/>
    <row r="134" s="10" customFormat="1" ht="15"/>
    <row r="135" s="10" customFormat="1" ht="15"/>
    <row r="136" s="10" customFormat="1" ht="15"/>
  </sheetData>
  <sheetProtection/>
  <printOptions/>
  <pageMargins left="0.7" right="0.7" top="0.75" bottom="0.75" header="0.3" footer="0.3"/>
  <pageSetup horizontalDpi="200" verticalDpi="2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2008-10-19T10:50:14Z</dcterms:created>
  <dcterms:modified xsi:type="dcterms:W3CDTF">2008-10-30T01:11:44Z</dcterms:modified>
  <cp:category/>
  <cp:version/>
  <cp:contentType/>
  <cp:contentStatus/>
</cp:coreProperties>
</file>